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9410" windowHeight="9210"/>
  </bookViews>
  <sheets>
    <sheet name="SPESA DOTAZIONE ORGANICA" sheetId="1" r:id="rId1"/>
    <sheet name="Foglio2" sheetId="2" r:id="rId2"/>
    <sheet name="Foglio3" sheetId="3" r:id="rId3"/>
  </sheets>
  <definedNames>
    <definedName name="_xlnm.Print_Area" localSheetId="0">'SPESA DOTAZIONE ORGANICA'!$B$2:$N$90</definedName>
  </definedNames>
  <calcPr calcId="125725"/>
</workbook>
</file>

<file path=xl/calcChain.xml><?xml version="1.0" encoding="utf-8"?>
<calcChain xmlns="http://schemas.openxmlformats.org/spreadsheetml/2006/main">
  <c r="D44" i="1"/>
  <c r="D43"/>
  <c r="G22"/>
  <c r="E43" l="1"/>
  <c r="F43" s="1"/>
  <c r="F39"/>
  <c r="F38"/>
  <c r="D41"/>
  <c r="D39"/>
  <c r="D35"/>
  <c r="G25"/>
  <c r="G26" s="1"/>
  <c r="E37"/>
  <c r="F37" s="1"/>
  <c r="D42"/>
  <c r="E39"/>
  <c r="D38"/>
  <c r="E38" s="1"/>
  <c r="D36"/>
  <c r="E36" s="1"/>
  <c r="F26"/>
  <c r="C27"/>
  <c r="C26"/>
  <c r="E26" s="1"/>
  <c r="H17" l="1"/>
  <c r="H18"/>
  <c r="H20"/>
  <c r="H21"/>
  <c r="I22"/>
  <c r="H25"/>
  <c r="H26" l="1"/>
  <c r="G74"/>
  <c r="H74"/>
  <c r="J74" l="1"/>
  <c r="G64" l="1"/>
  <c r="E58" l="1"/>
  <c r="C59"/>
  <c r="E44"/>
  <c r="I25"/>
  <c r="D59" l="1"/>
  <c r="J76"/>
  <c r="F82" s="1"/>
  <c r="I67"/>
  <c r="I66" l="1"/>
  <c r="I65"/>
  <c r="I64"/>
  <c r="I24"/>
  <c r="I23"/>
  <c r="I17"/>
  <c r="I19"/>
  <c r="F68"/>
  <c r="G65"/>
  <c r="H65"/>
  <c r="G66"/>
  <c r="H66"/>
  <c r="G67"/>
  <c r="H67"/>
  <c r="H64"/>
  <c r="E53"/>
  <c r="E54"/>
  <c r="E55"/>
  <c r="E56"/>
  <c r="E57"/>
  <c r="E52"/>
  <c r="D8"/>
  <c r="E8" s="1"/>
  <c r="D9"/>
  <c r="E9" s="1"/>
  <c r="F36" s="1"/>
  <c r="D10"/>
  <c r="E10" s="1"/>
  <c r="D11"/>
  <c r="E11" s="1"/>
  <c r="D12"/>
  <c r="E12" s="1"/>
  <c r="D7"/>
  <c r="E7" s="1"/>
  <c r="C6"/>
  <c r="D6" s="1"/>
  <c r="E6" s="1"/>
  <c r="C34"/>
  <c r="C33"/>
  <c r="I26" l="1"/>
  <c r="G36"/>
  <c r="J36" s="1"/>
  <c r="H36"/>
  <c r="I36"/>
  <c r="H37"/>
  <c r="I37"/>
  <c r="G37"/>
  <c r="G39"/>
  <c r="H39"/>
  <c r="I39"/>
  <c r="F58"/>
  <c r="F44"/>
  <c r="F57"/>
  <c r="G57" s="1"/>
  <c r="F53"/>
  <c r="G53" s="1"/>
  <c r="F55"/>
  <c r="G55" s="1"/>
  <c r="I18"/>
  <c r="E41"/>
  <c r="F41" s="1"/>
  <c r="G41" s="1"/>
  <c r="E34"/>
  <c r="F34" s="1"/>
  <c r="D45"/>
  <c r="E33"/>
  <c r="C45"/>
  <c r="F56"/>
  <c r="E59"/>
  <c r="F54"/>
  <c r="G54" s="1"/>
  <c r="I21"/>
  <c r="J64"/>
  <c r="E40"/>
  <c r="F40" s="1"/>
  <c r="G40" s="1"/>
  <c r="J67"/>
  <c r="J66"/>
  <c r="F52"/>
  <c r="E42"/>
  <c r="F42" s="1"/>
  <c r="I20"/>
  <c r="E35"/>
  <c r="F35" s="1"/>
  <c r="G35" s="1"/>
  <c r="G68"/>
  <c r="I68"/>
  <c r="J65"/>
  <c r="H68"/>
  <c r="J37" l="1"/>
  <c r="J39"/>
  <c r="I38"/>
  <c r="G38"/>
  <c r="J38" s="1"/>
  <c r="H38"/>
  <c r="G43"/>
  <c r="H43"/>
  <c r="I43"/>
  <c r="G34"/>
  <c r="H34"/>
  <c r="H53"/>
  <c r="I53"/>
  <c r="I56"/>
  <c r="G56"/>
  <c r="I52"/>
  <c r="G52"/>
  <c r="F59"/>
  <c r="H44"/>
  <c r="G44"/>
  <c r="I44"/>
  <c r="G58"/>
  <c r="I58"/>
  <c r="H58"/>
  <c r="F33"/>
  <c r="H33" s="1"/>
  <c r="E45"/>
  <c r="H56"/>
  <c r="H54"/>
  <c r="H57"/>
  <c r="I41"/>
  <c r="I35"/>
  <c r="I54"/>
  <c r="I34"/>
  <c r="I40"/>
  <c r="I55"/>
  <c r="J68"/>
  <c r="F81" s="1"/>
  <c r="I57"/>
  <c r="H52"/>
  <c r="H55"/>
  <c r="G42"/>
  <c r="H41"/>
  <c r="H40"/>
  <c r="H35"/>
  <c r="J43" l="1"/>
  <c r="J53"/>
  <c r="J54"/>
  <c r="J58"/>
  <c r="J44"/>
  <c r="J56"/>
  <c r="G33"/>
  <c r="G45" s="1"/>
  <c r="F45"/>
  <c r="I33"/>
  <c r="G59"/>
  <c r="H59"/>
  <c r="I59"/>
  <c r="I42"/>
  <c r="J52"/>
  <c r="J57"/>
  <c r="H42"/>
  <c r="H45" s="1"/>
  <c r="J55"/>
  <c r="J41"/>
  <c r="J40"/>
  <c r="J35"/>
  <c r="J34"/>
  <c r="J33" l="1"/>
  <c r="I45"/>
  <c r="J59"/>
  <c r="J42"/>
  <c r="J45" l="1"/>
  <c r="F79" s="1"/>
  <c r="F83" s="1"/>
  <c r="F85" s="1"/>
  <c r="F89" s="1"/>
</calcChain>
</file>

<file path=xl/sharedStrings.xml><?xml version="1.0" encoding="utf-8"?>
<sst xmlns="http://schemas.openxmlformats.org/spreadsheetml/2006/main" count="118" uniqueCount="79">
  <si>
    <t xml:space="preserve">D3 </t>
  </si>
  <si>
    <t xml:space="preserve">D1 </t>
  </si>
  <si>
    <t xml:space="preserve">C1 </t>
  </si>
  <si>
    <t xml:space="preserve">B3 </t>
  </si>
  <si>
    <t xml:space="preserve">B1 </t>
  </si>
  <si>
    <t xml:space="preserve">A1 </t>
  </si>
  <si>
    <t>Totale</t>
  </si>
  <si>
    <t>Cat.</t>
  </si>
  <si>
    <t>CAT.</t>
  </si>
  <si>
    <t>PART-TIME</t>
  </si>
  <si>
    <t>TOTALE</t>
  </si>
  <si>
    <t>Dirigenti</t>
  </si>
  <si>
    <t>n.a.</t>
  </si>
  <si>
    <t>D3</t>
  </si>
  <si>
    <t>D1</t>
  </si>
  <si>
    <t>C</t>
  </si>
  <si>
    <t>B3</t>
  </si>
  <si>
    <t>B1</t>
  </si>
  <si>
    <t>TOTALI</t>
  </si>
  <si>
    <t>TEMPO
PIENO</t>
  </si>
  <si>
    <t>POSTI
OCCUPATI</t>
  </si>
  <si>
    <t>POSTI VACANTI
Part.Time</t>
  </si>
  <si>
    <t>POSTI VACANTI
Tempo pieno</t>
  </si>
  <si>
    <t>TOTALE
Posti vacanti</t>
  </si>
  <si>
    <t>Rispetto %
T.P./P.T.</t>
  </si>
  <si>
    <t>13° mens.</t>
  </si>
  <si>
    <t>Posti Equ. 
Tempo Pieno</t>
  </si>
  <si>
    <t>Dirig.</t>
  </si>
  <si>
    <t>TOTALE
EQUIV.</t>
  </si>
  <si>
    <t>CONTRIBUTI</t>
  </si>
  <si>
    <t>IRAP</t>
  </si>
  <si>
    <t>SPESA
TOTALE</t>
  </si>
  <si>
    <t>Dirigenti extra dot.</t>
  </si>
  <si>
    <t>TEMPO PARZ.
IN TEMPO PIENO</t>
  </si>
  <si>
    <t>Altre spese di lavoro flessibile, fondo dirigenti, fondo dipendenti e straordinario</t>
  </si>
  <si>
    <t>Fondo dirigenti</t>
  </si>
  <si>
    <t>Fondo dipendenti</t>
  </si>
  <si>
    <t>P.O. e A.P. a bilancio</t>
  </si>
  <si>
    <t>Straordinario</t>
  </si>
  <si>
    <t>Importo</t>
  </si>
  <si>
    <t>FONDI E SALARIO ACCESSORIO A BILANCIO</t>
  </si>
  <si>
    <t>SPESE ESCLUSE EX ART.1 COMMA 557 LEGGE 296/2006</t>
  </si>
  <si>
    <t>(A)</t>
  </si>
  <si>
    <t>(B)</t>
  </si>
  <si>
    <t>(A-B)&lt;0</t>
  </si>
  <si>
    <t>Personale a tempo determinato e C.F.L. (dirigenti extra dotazione organica; personale a tempo determinato, staff del Sindaco, C.L.F., comandato)</t>
  </si>
  <si>
    <t>A) CALCOLO DELLA DOTAZIONE ORGANICA FINANZIARIA E LIMITE DELLA SPESA</t>
  </si>
  <si>
    <t>SPESA 
ANNUA</t>
  </si>
  <si>
    <t>TOTALE
EQUIV. T.P.</t>
  </si>
  <si>
    <t>Spesa dotazione organica personale a tempo indeterminato</t>
  </si>
  <si>
    <t>SPESA DEL SEGRETARIO COMUNALE ED ALTRE SPESE</t>
  </si>
  <si>
    <t>TOTALE SOGGETTO A LIMITE (A)</t>
  </si>
  <si>
    <t>SPESA PERSONALE MEDIA 2011-2013 (B)</t>
  </si>
  <si>
    <t>SPESA DOTAZIONE ORGANICA TEORICA</t>
  </si>
  <si>
    <t>PREMIO INAIL (ES.1,06%)</t>
  </si>
  <si>
    <t>Segretario Generale</t>
  </si>
  <si>
    <t>A1</t>
  </si>
  <si>
    <t>(va aggiunta l'indennità ex IV livello di € 64,56 annua)</t>
  </si>
  <si>
    <t>CONTRIBUTI (1)</t>
  </si>
  <si>
    <t>Spesa Segretario e altre spese</t>
  </si>
  <si>
    <t>(1) Ex Indel calcolata sulla sola retribuzione di posizione dei dirigenti (nell'esempio supponendo il 33% di retribuzione di risultato)</t>
  </si>
  <si>
    <t>(va aggiunta l'indennità di € 64,56 annua)</t>
  </si>
  <si>
    <t>SPESA PERSONALE A TEMPO DETERMINATO MASSIMO (1)</t>
  </si>
  <si>
    <t xml:space="preserve">(1) Spesa ridotta al fine della sola copertura teorica del valore da non superare </t>
  </si>
  <si>
    <t>Altro lavoro flessibile e spese diverse (somministrazione, lavoro occasionale, buoni pasto, assegni nucleo familiare, vigilanza ecc.)</t>
  </si>
  <si>
    <t>(va aggiunta l'indennità di vigilanza)</t>
  </si>
  <si>
    <t>Ultima dotazione organica formalmente approvata</t>
  </si>
  <si>
    <t xml:space="preserve"> VERIFICA DI CONTROLLO CON SPESA MEDIA TRIENNIO 2011-2013</t>
  </si>
  <si>
    <t>(Inclusi i rinnovi contrattuali del CCNL 21/05/2018)</t>
  </si>
  <si>
    <t>(1) Nella parte contributi è stata inserita la sola aliquota del 23,8% cui va aggiunta l’ex INADEL che risulta divisa in due parti: a) per il personale in TFS o che è restato tale l’importo a carico dell’ente è pari al 2,88% (ovvero il 3,6% sull’80% del salario lordo); b) per il personale assunto successivamente al 31/12/2000 o che abbia optato per passaggio al nuovo TFR, l’aliquota a carico dell’ente è pari al 4,88% ma con una riduzione del 2% sulle retribuzioni dei dipendenti. Al fine di facilitare i calcoli sarà possibile inserire la sola percentuale del 2,88% in entrambi i casi (senza così operare una riduzione del 2% sul salario fondamentale).</t>
  </si>
  <si>
    <t>1 a 67%</t>
  </si>
  <si>
    <t>3 al 83,33%</t>
  </si>
  <si>
    <t xml:space="preserve">C </t>
  </si>
  <si>
    <t>Anno 2021</t>
  </si>
  <si>
    <t>5 al 0,67</t>
  </si>
  <si>
    <t>sub  "B"</t>
  </si>
  <si>
    <t>21al 67%al 97,22% 1 al 94,44% 2 al 83,33% 6</t>
  </si>
  <si>
    <t>31 al 67%</t>
  </si>
  <si>
    <t>2 a 67%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</si>
</sst>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1" fillId="0" borderId="0" xfId="0" applyFont="1"/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2" fillId="0" borderId="0" xfId="0" applyFont="1"/>
    <xf numFmtId="2" fontId="1" fillId="0" borderId="3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4" fontId="1" fillId="2" borderId="3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4" fontId="9" fillId="2" borderId="11" xfId="0" applyNumberFormat="1" applyFont="1" applyFill="1" applyBorder="1" applyAlignment="1">
      <alignment horizontal="right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4" fontId="8" fillId="2" borderId="11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3" xfId="0" applyFont="1" applyBorder="1"/>
    <xf numFmtId="4" fontId="1" fillId="0" borderId="6" xfId="0" applyNumberFormat="1" applyFont="1" applyBorder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4" fontId="2" fillId="0" borderId="3" xfId="0" applyNumberFormat="1" applyFont="1" applyBorder="1"/>
    <xf numFmtId="0" fontId="2" fillId="0" borderId="0" xfId="0" applyFont="1" applyBorder="1"/>
    <xf numFmtId="0" fontId="1" fillId="0" borderId="0" xfId="0" applyFont="1" applyBorder="1"/>
    <xf numFmtId="4" fontId="2" fillId="0" borderId="0" xfId="0" applyNumberFormat="1" applyFont="1" applyBorder="1"/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1" fillId="2" borderId="1" xfId="0" applyNumberFormat="1" applyFont="1" applyFill="1" applyBorder="1" applyAlignment="1">
      <alignment horizontal="center"/>
    </xf>
    <xf numFmtId="4" fontId="1" fillId="0" borderId="0" xfId="0" applyNumberFormat="1" applyFont="1" applyBorder="1"/>
    <xf numFmtId="4" fontId="2" fillId="0" borderId="1" xfId="0" applyNumberFormat="1" applyFont="1" applyBorder="1"/>
    <xf numFmtId="4" fontId="1" fillId="2" borderId="1" xfId="0" applyNumberFormat="1" applyFont="1" applyFill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4" fontId="1" fillId="0" borderId="3" xfId="0" applyNumberFormat="1" applyFont="1" applyBorder="1"/>
    <xf numFmtId="0" fontId="2" fillId="0" borderId="4" xfId="0" applyFont="1" applyBorder="1" applyAlignment="1"/>
    <xf numFmtId="0" fontId="2" fillId="0" borderId="6" xfId="0" applyFont="1" applyBorder="1" applyAlignment="1"/>
    <xf numFmtId="4" fontId="9" fillId="0" borderId="3" xfId="0" applyNumberFormat="1" applyFont="1" applyBorder="1"/>
    <xf numFmtId="4" fontId="2" fillId="2" borderId="3" xfId="0" applyNumberFormat="1" applyFont="1" applyFill="1" applyBorder="1"/>
    <xf numFmtId="4" fontId="1" fillId="2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0"/>
  <sheetViews>
    <sheetView tabSelected="1" topLeftCell="A43" zoomScale="80" zoomScaleNormal="80" workbookViewId="0">
      <selection activeCell="J82" sqref="J82"/>
    </sheetView>
  </sheetViews>
  <sheetFormatPr defaultRowHeight="15"/>
  <cols>
    <col min="1" max="1" width="2.7109375" customWidth="1"/>
    <col min="2" max="2" width="19.28515625" customWidth="1"/>
    <col min="3" max="3" width="13.140625" customWidth="1"/>
    <col min="4" max="4" width="16.7109375" customWidth="1"/>
    <col min="5" max="5" width="20.7109375" customWidth="1"/>
    <col min="6" max="6" width="26.28515625" customWidth="1"/>
    <col min="7" max="7" width="21" customWidth="1"/>
    <col min="8" max="8" width="21.140625" customWidth="1"/>
    <col min="9" max="9" width="20" customWidth="1"/>
    <col min="10" max="10" width="15.7109375" customWidth="1"/>
    <col min="11" max="11" width="15.28515625" customWidth="1"/>
    <col min="12" max="12" width="14" customWidth="1"/>
    <col min="13" max="14" width="12.7109375" customWidth="1"/>
  </cols>
  <sheetData>
    <row r="2" spans="2:14" ht="15.75">
      <c r="B2" s="3"/>
      <c r="C2" s="2"/>
      <c r="D2" s="2"/>
      <c r="E2" s="2"/>
      <c r="F2" s="2"/>
      <c r="G2" s="2"/>
      <c r="H2" s="2"/>
      <c r="I2" s="2" t="s">
        <v>75</v>
      </c>
      <c r="J2" s="2"/>
      <c r="K2" s="2"/>
      <c r="L2" s="2"/>
      <c r="M2" s="2"/>
      <c r="N2" s="2"/>
    </row>
    <row r="3" spans="2:14" ht="15.75">
      <c r="B3" s="4" t="s">
        <v>46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5.7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5" customHeight="1">
      <c r="B5" s="6" t="s">
        <v>7</v>
      </c>
      <c r="C5" s="7">
        <v>43191</v>
      </c>
      <c r="D5" s="8" t="s">
        <v>25</v>
      </c>
      <c r="E5" s="8" t="s">
        <v>6</v>
      </c>
      <c r="F5" s="2"/>
      <c r="G5" s="2"/>
      <c r="H5" s="2"/>
      <c r="I5" s="2"/>
      <c r="J5" s="2"/>
      <c r="K5" s="2"/>
      <c r="L5" s="2"/>
      <c r="M5" s="2"/>
      <c r="N5" s="2"/>
    </row>
    <row r="6" spans="2:14" ht="15" customHeight="1">
      <c r="B6" s="6" t="s">
        <v>27</v>
      </c>
      <c r="C6" s="9">
        <f>43310.9/13*12</f>
        <v>39979.292307692311</v>
      </c>
      <c r="D6" s="10">
        <f>+C6/12</f>
        <v>3331.6076923076926</v>
      </c>
      <c r="E6" s="11">
        <f>+C6+D6</f>
        <v>43310.9</v>
      </c>
      <c r="F6" s="2"/>
      <c r="G6" s="2"/>
      <c r="H6" s="2"/>
      <c r="I6" s="2"/>
      <c r="J6" s="2"/>
      <c r="K6" s="2"/>
      <c r="L6" s="2"/>
      <c r="M6" s="2"/>
      <c r="N6" s="2"/>
    </row>
    <row r="7" spans="2:14" ht="15.75">
      <c r="B7" s="12" t="s">
        <v>0</v>
      </c>
      <c r="C7" s="13">
        <v>25451.86</v>
      </c>
      <c r="D7" s="14">
        <f>+C7/12</f>
        <v>2120.9883333333332</v>
      </c>
      <c r="E7" s="15">
        <f t="shared" ref="E7:E11" si="0">+C7+D7</f>
        <v>27572.848333333335</v>
      </c>
      <c r="F7" s="2"/>
      <c r="G7" s="2"/>
      <c r="H7" s="2"/>
      <c r="I7" s="2"/>
      <c r="J7" s="2"/>
      <c r="K7" s="2"/>
      <c r="L7" s="2"/>
      <c r="M7" s="2"/>
      <c r="N7" s="2"/>
    </row>
    <row r="8" spans="2:14" ht="15.75">
      <c r="B8" s="12" t="s">
        <v>1</v>
      </c>
      <c r="C8" s="13">
        <v>22135.47</v>
      </c>
      <c r="D8" s="14">
        <f t="shared" ref="D8:D12" si="1">+C8/12</f>
        <v>1844.6225000000002</v>
      </c>
      <c r="E8" s="15">
        <f t="shared" si="0"/>
        <v>23980.092500000002</v>
      </c>
      <c r="F8" s="2"/>
      <c r="G8" s="2"/>
      <c r="H8" s="2"/>
      <c r="I8" s="2"/>
      <c r="J8" s="2"/>
      <c r="K8" s="2"/>
      <c r="L8" s="2"/>
      <c r="M8" s="2"/>
      <c r="N8" s="2"/>
    </row>
    <row r="9" spans="2:14" ht="15.75">
      <c r="B9" s="12" t="s">
        <v>2</v>
      </c>
      <c r="C9" s="13">
        <v>20344.07</v>
      </c>
      <c r="D9" s="14">
        <f t="shared" si="1"/>
        <v>1695.3391666666666</v>
      </c>
      <c r="E9" s="15">
        <f t="shared" si="0"/>
        <v>22039.409166666665</v>
      </c>
      <c r="F9" s="2" t="s">
        <v>65</v>
      </c>
      <c r="G9" s="2"/>
      <c r="H9" s="2"/>
      <c r="I9" s="2"/>
      <c r="J9" s="2"/>
      <c r="K9" s="2"/>
      <c r="L9" s="2"/>
      <c r="M9" s="2"/>
      <c r="N9" s="2"/>
    </row>
    <row r="10" spans="2:14" ht="15.75">
      <c r="B10" s="12" t="s">
        <v>3</v>
      </c>
      <c r="C10" s="13">
        <v>19063.8</v>
      </c>
      <c r="D10" s="14">
        <f t="shared" si="1"/>
        <v>1588.6499999999999</v>
      </c>
      <c r="E10" s="15">
        <f t="shared" si="0"/>
        <v>20652.45</v>
      </c>
      <c r="F10" s="2"/>
      <c r="G10" s="2"/>
      <c r="H10" s="2"/>
      <c r="I10" s="2"/>
      <c r="J10" s="2"/>
      <c r="K10" s="2"/>
      <c r="L10" s="2"/>
      <c r="M10" s="2"/>
      <c r="N10" s="2"/>
    </row>
    <row r="11" spans="2:14" ht="15.75">
      <c r="B11" s="12" t="s">
        <v>4</v>
      </c>
      <c r="C11" s="13">
        <v>18034.07</v>
      </c>
      <c r="D11" s="14">
        <f t="shared" si="1"/>
        <v>1502.8391666666666</v>
      </c>
      <c r="E11" s="15">
        <f t="shared" si="0"/>
        <v>19536.909166666665</v>
      </c>
      <c r="F11" s="2" t="s">
        <v>57</v>
      </c>
      <c r="G11" s="2"/>
      <c r="H11" s="2"/>
      <c r="I11" s="2"/>
      <c r="J11" s="2"/>
      <c r="K11" s="2"/>
      <c r="L11" s="2"/>
      <c r="M11" s="2"/>
      <c r="N11" s="2"/>
    </row>
    <row r="12" spans="2:14" ht="15.75">
      <c r="B12" s="12" t="s">
        <v>5</v>
      </c>
      <c r="C12" s="13">
        <v>17060.97</v>
      </c>
      <c r="D12" s="14">
        <f t="shared" si="1"/>
        <v>1421.7475000000002</v>
      </c>
      <c r="E12" s="15">
        <f>+C12+D12</f>
        <v>18482.717500000002</v>
      </c>
      <c r="F12" s="2" t="s">
        <v>61</v>
      </c>
      <c r="G12" s="2"/>
      <c r="H12" s="2"/>
      <c r="I12" s="2"/>
      <c r="J12" s="2"/>
      <c r="K12" s="2"/>
      <c r="L12" s="2"/>
      <c r="M12" s="2"/>
      <c r="N12" s="2"/>
    </row>
    <row r="13" spans="2:14" s="1" customFormat="1" ht="15.7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6.5" thickBot="1">
      <c r="B14" s="110" t="s">
        <v>66</v>
      </c>
      <c r="C14" s="110"/>
      <c r="D14" s="110"/>
      <c r="E14" s="110"/>
      <c r="F14" s="109" t="s">
        <v>73</v>
      </c>
      <c r="G14" s="109"/>
      <c r="H14" s="109"/>
      <c r="I14" s="109"/>
      <c r="J14" s="2"/>
      <c r="K14" s="2"/>
      <c r="L14" s="2"/>
      <c r="M14" s="2"/>
      <c r="N14" s="2"/>
    </row>
    <row r="15" spans="2:14" ht="14.65" customHeight="1">
      <c r="B15" s="117" t="s">
        <v>8</v>
      </c>
      <c r="C15" s="117" t="s">
        <v>19</v>
      </c>
      <c r="D15" s="117" t="s">
        <v>9</v>
      </c>
      <c r="E15" s="117" t="s">
        <v>10</v>
      </c>
      <c r="F15" s="117" t="s">
        <v>20</v>
      </c>
      <c r="G15" s="117" t="s">
        <v>21</v>
      </c>
      <c r="H15" s="117" t="s">
        <v>22</v>
      </c>
      <c r="I15" s="117" t="s">
        <v>23</v>
      </c>
      <c r="J15" s="113" t="s">
        <v>24</v>
      </c>
      <c r="K15" s="2"/>
      <c r="L15" s="2"/>
      <c r="M15" s="2"/>
      <c r="N15" s="2"/>
    </row>
    <row r="16" spans="2:14" ht="31.15" customHeight="1" thickBot="1">
      <c r="B16" s="114"/>
      <c r="C16" s="114"/>
      <c r="D16" s="114"/>
      <c r="E16" s="114"/>
      <c r="F16" s="114"/>
      <c r="G16" s="114"/>
      <c r="H16" s="114"/>
      <c r="I16" s="114"/>
      <c r="J16" s="114"/>
      <c r="K16" s="2"/>
      <c r="L16" s="2"/>
      <c r="M16" s="2"/>
      <c r="N16" s="2"/>
    </row>
    <row r="17" spans="2:14" ht="16.5" thickBot="1">
      <c r="B17" s="18" t="s">
        <v>11</v>
      </c>
      <c r="C17" s="19">
        <v>0</v>
      </c>
      <c r="D17" s="19">
        <v>0</v>
      </c>
      <c r="E17" s="20"/>
      <c r="F17" s="20"/>
      <c r="G17" s="21">
        <v>0</v>
      </c>
      <c r="H17" s="22">
        <f t="shared" ref="H17:H21" si="2">+E17-F17</f>
        <v>0</v>
      </c>
      <c r="I17" s="21">
        <f>+G17+H17</f>
        <v>0</v>
      </c>
      <c r="J17" s="20" t="s">
        <v>12</v>
      </c>
      <c r="K17" s="2"/>
      <c r="L17" s="2"/>
      <c r="M17" s="2"/>
      <c r="N17" s="2"/>
    </row>
    <row r="18" spans="2:14" ht="16.5" thickBot="1">
      <c r="B18" s="18" t="s">
        <v>13</v>
      </c>
      <c r="C18" s="19">
        <v>1</v>
      </c>
      <c r="D18" s="19">
        <v>0</v>
      </c>
      <c r="E18" s="20">
        <v>1</v>
      </c>
      <c r="F18" s="20">
        <v>1</v>
      </c>
      <c r="G18" s="21">
        <v>0</v>
      </c>
      <c r="H18" s="22">
        <f t="shared" si="2"/>
        <v>0</v>
      </c>
      <c r="I18" s="21">
        <f t="shared" ref="I18:I25" si="3">+G18+H18</f>
        <v>0</v>
      </c>
      <c r="J18" s="118">
        <v>0.03</v>
      </c>
      <c r="K18" s="2"/>
      <c r="L18" s="2"/>
      <c r="M18" s="2"/>
      <c r="N18" s="2"/>
    </row>
    <row r="19" spans="2:14" ht="16.5" thickBot="1">
      <c r="B19" s="23" t="s">
        <v>14</v>
      </c>
      <c r="C19" s="24">
        <v>2</v>
      </c>
      <c r="D19" s="25" t="s">
        <v>70</v>
      </c>
      <c r="E19" s="26">
        <v>3</v>
      </c>
      <c r="F19" s="26">
        <v>3</v>
      </c>
      <c r="G19" s="27">
        <v>0</v>
      </c>
      <c r="H19" s="28"/>
      <c r="I19" s="21">
        <f t="shared" si="3"/>
        <v>0</v>
      </c>
      <c r="J19" s="119"/>
      <c r="K19" s="2"/>
      <c r="L19" s="2"/>
      <c r="M19" s="2"/>
      <c r="N19" s="2"/>
    </row>
    <row r="20" spans="2:14" ht="63.75" thickBot="1">
      <c r="B20" s="29" t="s">
        <v>15</v>
      </c>
      <c r="C20" s="30">
        <v>16</v>
      </c>
      <c r="D20" s="31" t="s">
        <v>76</v>
      </c>
      <c r="E20" s="32">
        <v>46</v>
      </c>
      <c r="F20" s="32">
        <v>46</v>
      </c>
      <c r="G20" s="33">
        <v>0</v>
      </c>
      <c r="H20" s="34">
        <f t="shared" si="2"/>
        <v>0</v>
      </c>
      <c r="I20" s="21">
        <f t="shared" si="3"/>
        <v>0</v>
      </c>
      <c r="J20" s="35">
        <v>0.05</v>
      </c>
      <c r="K20" s="2"/>
      <c r="L20" s="2"/>
      <c r="M20" s="2"/>
      <c r="N20" s="2"/>
    </row>
    <row r="21" spans="2:14" ht="16.5" thickBot="1">
      <c r="B21" s="36" t="s">
        <v>16</v>
      </c>
      <c r="C21" s="37">
        <v>1</v>
      </c>
      <c r="D21" s="38" t="s">
        <v>74</v>
      </c>
      <c r="E21" s="37">
        <v>6</v>
      </c>
      <c r="F21" s="37">
        <v>6</v>
      </c>
      <c r="G21" s="39">
        <v>0</v>
      </c>
      <c r="H21" s="40">
        <f t="shared" si="2"/>
        <v>0</v>
      </c>
      <c r="I21" s="21">
        <f t="shared" si="3"/>
        <v>0</v>
      </c>
      <c r="J21" s="118">
        <v>0.25</v>
      </c>
      <c r="K21" s="2"/>
      <c r="L21" s="2"/>
      <c r="M21" s="2"/>
      <c r="N21" s="2"/>
    </row>
    <row r="22" spans="2:14" ht="16.5" thickBot="1">
      <c r="B22" s="121" t="s">
        <v>17</v>
      </c>
      <c r="C22" s="121">
        <v>3</v>
      </c>
      <c r="D22" s="41"/>
      <c r="E22" s="121">
        <v>37</v>
      </c>
      <c r="F22" s="121">
        <v>35</v>
      </c>
      <c r="G22" s="124">
        <f>E22-F22</f>
        <v>2</v>
      </c>
      <c r="H22" s="133"/>
      <c r="I22" s="124">
        <f t="shared" si="3"/>
        <v>2</v>
      </c>
      <c r="J22" s="120"/>
      <c r="K22" s="2"/>
      <c r="L22" s="2"/>
      <c r="M22" s="2"/>
      <c r="N22" s="2"/>
    </row>
    <row r="23" spans="2:14" ht="16.5" thickBot="1">
      <c r="B23" s="122"/>
      <c r="C23" s="122"/>
      <c r="D23" s="41" t="s">
        <v>77</v>
      </c>
      <c r="E23" s="122"/>
      <c r="F23" s="122"/>
      <c r="G23" s="125"/>
      <c r="H23" s="134"/>
      <c r="I23" s="125">
        <f t="shared" si="3"/>
        <v>0</v>
      </c>
      <c r="J23" s="120"/>
      <c r="K23" s="2"/>
      <c r="L23" s="2"/>
      <c r="M23" s="2"/>
      <c r="N23" s="2"/>
    </row>
    <row r="24" spans="2:14" ht="16.5" thickBot="1">
      <c r="B24" s="123"/>
      <c r="C24" s="123"/>
      <c r="D24" s="41" t="s">
        <v>71</v>
      </c>
      <c r="E24" s="123"/>
      <c r="F24" s="123"/>
      <c r="G24" s="126"/>
      <c r="H24" s="135"/>
      <c r="I24" s="126">
        <f t="shared" si="3"/>
        <v>0</v>
      </c>
      <c r="J24" s="119"/>
      <c r="K24" s="2"/>
      <c r="L24" s="2"/>
      <c r="M24" s="2"/>
      <c r="N24" s="2"/>
    </row>
    <row r="25" spans="2:14" ht="16.5" thickBot="1">
      <c r="B25" s="18" t="s">
        <v>56</v>
      </c>
      <c r="C25" s="19">
        <v>2</v>
      </c>
      <c r="D25" s="41" t="s">
        <v>78</v>
      </c>
      <c r="E25" s="19">
        <v>4</v>
      </c>
      <c r="F25" s="19">
        <v>2</v>
      </c>
      <c r="G25" s="42">
        <f>E25-F25</f>
        <v>2</v>
      </c>
      <c r="H25" s="43">
        <f>+E25-F25-G25</f>
        <v>0</v>
      </c>
      <c r="I25" s="42">
        <f t="shared" si="3"/>
        <v>2</v>
      </c>
      <c r="J25" s="44"/>
      <c r="K25" s="2"/>
      <c r="L25" s="2"/>
      <c r="M25" s="2"/>
      <c r="N25" s="2"/>
    </row>
    <row r="26" spans="2:14" ht="16.5" thickBot="1">
      <c r="B26" s="45" t="s">
        <v>18</v>
      </c>
      <c r="C26" s="41">
        <f>SUM(C17:C25)</f>
        <v>25</v>
      </c>
      <c r="D26" s="41">
        <v>72</v>
      </c>
      <c r="E26" s="41">
        <f>C26+D26</f>
        <v>97</v>
      </c>
      <c r="F26" s="41">
        <f>SUM(F17:F25)</f>
        <v>93</v>
      </c>
      <c r="G26" s="46">
        <f>SUM(G17:G25)</f>
        <v>4</v>
      </c>
      <c r="H26" s="47">
        <f t="shared" ref="H26" si="4">SUM(H17:H24)</f>
        <v>0</v>
      </c>
      <c r="I26" s="46">
        <f>SUM(I17:I25)</f>
        <v>4</v>
      </c>
      <c r="J26" s="2"/>
      <c r="K26" s="2"/>
      <c r="L26" s="2"/>
      <c r="M26" s="2"/>
      <c r="N26" s="2"/>
    </row>
    <row r="27" spans="2:14" ht="32.25" thickBot="1">
      <c r="B27" s="45" t="s">
        <v>26</v>
      </c>
      <c r="C27" s="41">
        <f>SUM(C17:C25)</f>
        <v>25</v>
      </c>
      <c r="D27" s="41">
        <v>72</v>
      </c>
      <c r="E27" s="41">
        <v>97</v>
      </c>
      <c r="F27" s="48"/>
      <c r="G27" s="49"/>
      <c r="H27" s="49"/>
      <c r="I27" s="49"/>
      <c r="J27" s="2"/>
      <c r="K27" s="2"/>
      <c r="L27" s="2"/>
      <c r="M27" s="2"/>
      <c r="N27" s="2"/>
    </row>
    <row r="28" spans="2:14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5.75">
      <c r="B29" s="50" t="s">
        <v>49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6.5" thickBo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4.45" customHeight="1">
      <c r="B31" s="113" t="s">
        <v>8</v>
      </c>
      <c r="C31" s="113" t="s">
        <v>19</v>
      </c>
      <c r="D31" s="113" t="s">
        <v>33</v>
      </c>
      <c r="E31" s="113" t="s">
        <v>28</v>
      </c>
      <c r="F31" s="127" t="s">
        <v>47</v>
      </c>
      <c r="G31" s="111" t="s">
        <v>58</v>
      </c>
      <c r="H31" s="111" t="s">
        <v>30</v>
      </c>
      <c r="I31" s="115" t="s">
        <v>54</v>
      </c>
      <c r="J31" s="115" t="s">
        <v>31</v>
      </c>
      <c r="K31" s="2"/>
      <c r="L31" s="2"/>
      <c r="M31" s="2"/>
      <c r="N31" s="2"/>
    </row>
    <row r="32" spans="2:14" ht="27.6" customHeight="1" thickBot="1">
      <c r="B32" s="114"/>
      <c r="C32" s="114"/>
      <c r="D32" s="114"/>
      <c r="E32" s="114"/>
      <c r="F32" s="112"/>
      <c r="G32" s="112"/>
      <c r="H32" s="112"/>
      <c r="I32" s="116"/>
      <c r="J32" s="116"/>
      <c r="K32" s="2"/>
      <c r="L32" s="2"/>
      <c r="M32" s="2"/>
      <c r="N32" s="2"/>
    </row>
    <row r="33" spans="2:14" ht="16.5" thickBot="1">
      <c r="B33" s="18" t="s">
        <v>11</v>
      </c>
      <c r="C33" s="42">
        <f t="shared" ref="C33:C34" si="5">+C17</f>
        <v>0</v>
      </c>
      <c r="D33" s="51">
        <v>0</v>
      </c>
      <c r="E33" s="52">
        <f>+C33+D33</f>
        <v>0</v>
      </c>
      <c r="F33" s="53">
        <f>+E33*E6+290.52*E33</f>
        <v>0</v>
      </c>
      <c r="G33" s="54">
        <f>+F33*(23.8%+2.88%)</f>
        <v>0</v>
      </c>
      <c r="H33" s="54">
        <f>+F33*8.5%</f>
        <v>0</v>
      </c>
      <c r="I33" s="55">
        <f>+F33*1.06%</f>
        <v>0</v>
      </c>
      <c r="J33" s="54">
        <f>+F33+G33+H33+I33</f>
        <v>0</v>
      </c>
      <c r="K33" s="2"/>
      <c r="L33" s="2"/>
      <c r="M33" s="2"/>
      <c r="N33" s="2"/>
    </row>
    <row r="34" spans="2:14" ht="16.5" thickBot="1">
      <c r="B34" s="23" t="s">
        <v>13</v>
      </c>
      <c r="C34" s="42">
        <f t="shared" si="5"/>
        <v>1</v>
      </c>
      <c r="D34" s="51">
        <v>0</v>
      </c>
      <c r="E34" s="52">
        <f t="shared" ref="E34:E42" si="6">+C34+D34</f>
        <v>1</v>
      </c>
      <c r="F34" s="53">
        <f t="shared" ref="F34:F35" si="7">+E34*E7</f>
        <v>27572.848333333335</v>
      </c>
      <c r="G34" s="54">
        <f t="shared" ref="G34:G44" si="8">+F34*(23.8%+2.88%)</f>
        <v>7356.4359353333348</v>
      </c>
      <c r="H34" s="54">
        <f t="shared" ref="H34:H43" si="9">+F34*8.5%</f>
        <v>2343.6921083333336</v>
      </c>
      <c r="I34" s="55">
        <f t="shared" ref="I34:I43" si="10">+F34*1.06%</f>
        <v>292.27219233333335</v>
      </c>
      <c r="J34" s="54">
        <f t="shared" ref="J34:J43" si="11">+F34+G34+H34+I34</f>
        <v>37565.248569333336</v>
      </c>
      <c r="K34" s="2"/>
      <c r="L34" s="2"/>
      <c r="M34" s="2"/>
      <c r="N34" s="2"/>
    </row>
    <row r="35" spans="2:14" ht="16.5" thickBot="1">
      <c r="B35" s="56" t="s">
        <v>14</v>
      </c>
      <c r="C35" s="57">
        <v>2</v>
      </c>
      <c r="D35" s="51">
        <f>1*0.67</f>
        <v>0.67</v>
      </c>
      <c r="E35" s="52">
        <f t="shared" si="6"/>
        <v>2.67</v>
      </c>
      <c r="F35" s="53">
        <f t="shared" si="7"/>
        <v>64026.846975000008</v>
      </c>
      <c r="G35" s="54">
        <f t="shared" si="8"/>
        <v>17082.362772930006</v>
      </c>
      <c r="H35" s="54">
        <f t="shared" si="9"/>
        <v>5442.2819928750014</v>
      </c>
      <c r="I35" s="55">
        <f t="shared" si="10"/>
        <v>678.68457793500011</v>
      </c>
      <c r="J35" s="54">
        <f t="shared" si="11"/>
        <v>87230.176318740007</v>
      </c>
      <c r="K35" s="2"/>
      <c r="L35" s="2"/>
      <c r="M35" s="2"/>
      <c r="N35" s="2"/>
    </row>
    <row r="36" spans="2:14" ht="16.5" thickBot="1">
      <c r="B36" s="56" t="s">
        <v>72</v>
      </c>
      <c r="C36" s="58"/>
      <c r="D36" s="59">
        <f>1*0.97</f>
        <v>0.97</v>
      </c>
      <c r="E36" s="52">
        <f t="shared" si="6"/>
        <v>0.97</v>
      </c>
      <c r="F36" s="53">
        <f>+E36*E9</f>
        <v>21378.226891666665</v>
      </c>
      <c r="G36" s="54">
        <f t="shared" si="8"/>
        <v>5703.7109346966672</v>
      </c>
      <c r="H36" s="54">
        <f t="shared" si="9"/>
        <v>1817.1492857916667</v>
      </c>
      <c r="I36" s="55">
        <f t="shared" si="10"/>
        <v>226.60920505166666</v>
      </c>
      <c r="J36" s="54">
        <f t="shared" si="11"/>
        <v>29125.696317206668</v>
      </c>
      <c r="K36" s="2"/>
      <c r="L36" s="2"/>
      <c r="M36" s="2"/>
      <c r="N36" s="2"/>
    </row>
    <row r="37" spans="2:14" ht="16.5" thickBot="1">
      <c r="B37" s="56" t="s">
        <v>15</v>
      </c>
      <c r="C37" s="58"/>
      <c r="D37" s="59">
        <v>1.88</v>
      </c>
      <c r="E37" s="52">
        <f t="shared" si="6"/>
        <v>1.88</v>
      </c>
      <c r="F37" s="53">
        <f>+E37*E9</f>
        <v>41434.089233333325</v>
      </c>
      <c r="G37" s="54">
        <f t="shared" si="8"/>
        <v>11054.615007453333</v>
      </c>
      <c r="H37" s="54">
        <f t="shared" si="9"/>
        <v>3521.897584833333</v>
      </c>
      <c r="I37" s="55">
        <f t="shared" si="10"/>
        <v>439.20134587333325</v>
      </c>
      <c r="J37" s="54">
        <f t="shared" si="11"/>
        <v>56449.803171493324</v>
      </c>
      <c r="K37" s="2"/>
      <c r="L37" s="2"/>
      <c r="M37" s="2"/>
      <c r="N37" s="2"/>
    </row>
    <row r="38" spans="2:14" ht="16.5" thickBot="1">
      <c r="B38" s="56" t="s">
        <v>15</v>
      </c>
      <c r="C38" s="58"/>
      <c r="D38" s="59">
        <f>6*0.83</f>
        <v>4.9799999999999995</v>
      </c>
      <c r="E38" s="52">
        <f t="shared" si="6"/>
        <v>4.9799999999999995</v>
      </c>
      <c r="F38" s="53">
        <f>+E38*E9</f>
        <v>109756.25764999999</v>
      </c>
      <c r="G38" s="54">
        <f t="shared" si="8"/>
        <v>29282.96954102</v>
      </c>
      <c r="H38" s="54">
        <f t="shared" si="9"/>
        <v>9329.28190025</v>
      </c>
      <c r="I38" s="55">
        <f t="shared" si="10"/>
        <v>1163.4163310899999</v>
      </c>
      <c r="J38" s="54">
        <f t="shared" si="11"/>
        <v>149531.92542235999</v>
      </c>
      <c r="K38" s="2"/>
      <c r="L38" s="2"/>
      <c r="M38" s="2"/>
      <c r="N38" s="2"/>
    </row>
    <row r="39" spans="2:14" ht="16.5" thickBot="1">
      <c r="B39" s="56" t="s">
        <v>15</v>
      </c>
      <c r="C39" s="60"/>
      <c r="D39" s="59">
        <f>21*0.67</f>
        <v>14.07</v>
      </c>
      <c r="E39" s="52">
        <f t="shared" si="6"/>
        <v>14.07</v>
      </c>
      <c r="F39" s="53">
        <f>+E39*E9</f>
        <v>310094.48697499995</v>
      </c>
      <c r="G39" s="54">
        <f t="shared" si="8"/>
        <v>82733.209124929999</v>
      </c>
      <c r="H39" s="54">
        <f t="shared" si="9"/>
        <v>26358.031392874997</v>
      </c>
      <c r="I39" s="55">
        <f t="shared" si="10"/>
        <v>3287.0015619349997</v>
      </c>
      <c r="J39" s="54">
        <f t="shared" si="11"/>
        <v>422472.72905473999</v>
      </c>
      <c r="K39" s="2"/>
      <c r="L39" s="2"/>
      <c r="M39" s="2"/>
      <c r="N39" s="2"/>
    </row>
    <row r="40" spans="2:14" ht="16.5" thickBot="1">
      <c r="B40" s="56" t="s">
        <v>15</v>
      </c>
      <c r="C40" s="60">
        <v>16</v>
      </c>
      <c r="D40" s="59"/>
      <c r="E40" s="52">
        <f t="shared" si="6"/>
        <v>16</v>
      </c>
      <c r="F40" s="53">
        <f>+E40*E9</f>
        <v>352630.54666666663</v>
      </c>
      <c r="G40" s="54">
        <f t="shared" si="8"/>
        <v>94081.829850666676</v>
      </c>
      <c r="H40" s="54">
        <f t="shared" si="9"/>
        <v>29973.596466666666</v>
      </c>
      <c r="I40" s="55">
        <f t="shared" si="10"/>
        <v>3737.8837946666663</v>
      </c>
      <c r="J40" s="54">
        <f t="shared" si="11"/>
        <v>480423.85677866667</v>
      </c>
      <c r="K40" s="2"/>
      <c r="L40" s="2"/>
      <c r="M40" s="2"/>
      <c r="N40" s="2"/>
    </row>
    <row r="41" spans="2:14" ht="16.5" thickBot="1">
      <c r="B41" s="18" t="s">
        <v>16</v>
      </c>
      <c r="C41" s="42">
        <v>1</v>
      </c>
      <c r="D41" s="51">
        <f>5*0.67</f>
        <v>3.35</v>
      </c>
      <c r="E41" s="52">
        <f t="shared" si="6"/>
        <v>4.3499999999999996</v>
      </c>
      <c r="F41" s="53">
        <f>+E41*E10</f>
        <v>89838.157500000001</v>
      </c>
      <c r="G41" s="54">
        <f t="shared" si="8"/>
        <v>23968.820421000004</v>
      </c>
      <c r="H41" s="54">
        <f t="shared" si="9"/>
        <v>7636.2433875000006</v>
      </c>
      <c r="I41" s="55">
        <f t="shared" si="10"/>
        <v>952.2844695</v>
      </c>
      <c r="J41" s="54">
        <f t="shared" si="11"/>
        <v>122395.50577800001</v>
      </c>
      <c r="K41" s="2"/>
      <c r="L41" s="2"/>
      <c r="M41" s="2"/>
      <c r="N41" s="2"/>
    </row>
    <row r="42" spans="2:14" ht="16.5" thickBot="1">
      <c r="B42" s="36" t="s">
        <v>17</v>
      </c>
      <c r="C42" s="61">
        <v>3</v>
      </c>
      <c r="D42" s="51">
        <f>3*0.83</f>
        <v>2.4899999999999998</v>
      </c>
      <c r="E42" s="52">
        <f t="shared" si="6"/>
        <v>5.49</v>
      </c>
      <c r="F42" s="53">
        <f>+E42*$E$11+64.56*E42</f>
        <v>107612.06572499999</v>
      </c>
      <c r="G42" s="54">
        <f t="shared" si="8"/>
        <v>28710.899135430001</v>
      </c>
      <c r="H42" s="54">
        <f t="shared" si="9"/>
        <v>9147.0255866250009</v>
      </c>
      <c r="I42" s="55">
        <f t="shared" si="10"/>
        <v>1140.6878966849999</v>
      </c>
      <c r="J42" s="54">
        <f t="shared" si="11"/>
        <v>146610.67834374</v>
      </c>
      <c r="K42" s="2"/>
      <c r="L42" s="2"/>
      <c r="M42" s="2"/>
      <c r="N42" s="2"/>
    </row>
    <row r="43" spans="2:14" ht="16.5" thickBot="1">
      <c r="B43" s="18" t="s">
        <v>17</v>
      </c>
      <c r="C43" s="42"/>
      <c r="D43" s="62">
        <f>31*0.67</f>
        <v>20.77</v>
      </c>
      <c r="E43" s="52">
        <f>C43+D43</f>
        <v>20.77</v>
      </c>
      <c r="F43" s="53">
        <f>+E43*E11</f>
        <v>405781.60339166661</v>
      </c>
      <c r="G43" s="54">
        <f t="shared" si="8"/>
        <v>108262.53178489667</v>
      </c>
      <c r="H43" s="54">
        <f t="shared" si="9"/>
        <v>34491.436288291661</v>
      </c>
      <c r="I43" s="55">
        <f t="shared" si="10"/>
        <v>4301.2849959516661</v>
      </c>
      <c r="J43" s="54">
        <f t="shared" si="11"/>
        <v>552836.85646080668</v>
      </c>
      <c r="K43" s="2"/>
      <c r="L43" s="2"/>
      <c r="M43" s="2"/>
      <c r="N43" s="2"/>
    </row>
    <row r="44" spans="2:14" ht="16.5" thickBot="1">
      <c r="B44" s="18" t="s">
        <v>56</v>
      </c>
      <c r="C44" s="42">
        <v>2</v>
      </c>
      <c r="D44" s="62">
        <f>2*0.67</f>
        <v>1.34</v>
      </c>
      <c r="E44" s="52">
        <f t="shared" ref="E44" si="12">+C44+D44</f>
        <v>3.34</v>
      </c>
      <c r="F44" s="63">
        <f>+E44*$E$12+64.56*E44</f>
        <v>61947.906850000007</v>
      </c>
      <c r="G44" s="54">
        <f t="shared" si="8"/>
        <v>16527.701547580004</v>
      </c>
      <c r="H44" s="54">
        <f t="shared" ref="H44" si="13">+F44*8.5%</f>
        <v>5265.5720822500007</v>
      </c>
      <c r="I44" s="55">
        <f t="shared" ref="I44" si="14">+F44*1.06%</f>
        <v>656.64781261000007</v>
      </c>
      <c r="J44" s="54">
        <f t="shared" ref="J44" si="15">+F44+G44+H44+I44</f>
        <v>84397.828292440012</v>
      </c>
      <c r="K44" s="2"/>
      <c r="L44" s="2"/>
      <c r="M44" s="2"/>
      <c r="N44" s="2"/>
    </row>
    <row r="45" spans="2:14" ht="16.5" thickBot="1">
      <c r="B45" s="45" t="s">
        <v>18</v>
      </c>
      <c r="C45" s="64">
        <f>SUM(C33:C44)</f>
        <v>25</v>
      </c>
      <c r="D45" s="65">
        <f t="shared" ref="D45:J45" si="16">SUM(D33:D44)</f>
        <v>50.52</v>
      </c>
      <c r="E45" s="66">
        <f t="shared" si="16"/>
        <v>75.52000000000001</v>
      </c>
      <c r="F45" s="67">
        <f t="shared" si="16"/>
        <v>1592073.0361916663</v>
      </c>
      <c r="G45" s="67">
        <f t="shared" si="16"/>
        <v>424765.0860559367</v>
      </c>
      <c r="H45" s="67">
        <f t="shared" si="16"/>
        <v>135326.20807629166</v>
      </c>
      <c r="I45" s="68">
        <f t="shared" si="16"/>
        <v>16875.974183631664</v>
      </c>
      <c r="J45" s="67">
        <f t="shared" si="16"/>
        <v>2169040.3045075266</v>
      </c>
      <c r="K45" s="2"/>
      <c r="L45" s="2"/>
      <c r="M45" s="2"/>
      <c r="N45" s="2"/>
    </row>
    <row r="46" spans="2:14" ht="42.4" customHeight="1">
      <c r="B46" s="132" t="s">
        <v>69</v>
      </c>
      <c r="C46" s="132"/>
      <c r="D46" s="132"/>
      <c r="E46" s="132"/>
      <c r="F46" s="132"/>
      <c r="G46" s="132"/>
      <c r="H46" s="132"/>
      <c r="I46" s="132"/>
      <c r="J46" s="132"/>
      <c r="K46" s="2"/>
      <c r="L46" s="2"/>
      <c r="M46" s="2"/>
      <c r="N46" s="2"/>
    </row>
    <row r="47" spans="2:14" ht="15.75">
      <c r="B47" s="2"/>
      <c r="C47" s="2"/>
      <c r="D47" s="2"/>
      <c r="E47" s="2"/>
      <c r="F47" s="2"/>
      <c r="G47" s="2"/>
      <c r="H47" s="2"/>
      <c r="I47" s="2"/>
      <c r="J47" s="69"/>
      <c r="K47" s="2"/>
      <c r="L47" s="2"/>
      <c r="M47" s="2"/>
      <c r="N47" s="2"/>
    </row>
    <row r="48" spans="2:14" ht="17.45" customHeight="1">
      <c r="B48" s="136" t="s">
        <v>45</v>
      </c>
      <c r="C48" s="136"/>
      <c r="D48" s="136"/>
      <c r="E48" s="136"/>
      <c r="F48" s="136"/>
      <c r="G48" s="136"/>
      <c r="H48" s="136"/>
      <c r="I48" s="136"/>
      <c r="J48" s="136"/>
      <c r="K48" s="2"/>
      <c r="L48" s="2"/>
      <c r="M48" s="2"/>
      <c r="N48" s="2"/>
    </row>
    <row r="49" spans="2:14" ht="16.5" thickBo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8.600000000000001" customHeight="1">
      <c r="B50" s="113" t="s">
        <v>8</v>
      </c>
      <c r="C50" s="113" t="s">
        <v>19</v>
      </c>
      <c r="D50" s="113" t="s">
        <v>33</v>
      </c>
      <c r="E50" s="113" t="s">
        <v>48</v>
      </c>
      <c r="F50" s="127" t="s">
        <v>47</v>
      </c>
      <c r="G50" s="111" t="s">
        <v>29</v>
      </c>
      <c r="H50" s="111" t="s">
        <v>30</v>
      </c>
      <c r="I50" s="115" t="s">
        <v>54</v>
      </c>
      <c r="J50" s="115" t="s">
        <v>31</v>
      </c>
      <c r="K50" s="2"/>
      <c r="L50" s="2"/>
      <c r="M50" s="2"/>
      <c r="N50" s="2"/>
    </row>
    <row r="51" spans="2:14" ht="25.15" customHeight="1" thickBot="1">
      <c r="B51" s="114"/>
      <c r="C51" s="114"/>
      <c r="D51" s="114"/>
      <c r="E51" s="114"/>
      <c r="F51" s="112"/>
      <c r="G51" s="112"/>
      <c r="H51" s="112"/>
      <c r="I51" s="116"/>
      <c r="J51" s="116"/>
      <c r="K51" s="2"/>
      <c r="L51" s="2"/>
      <c r="M51" s="2"/>
      <c r="N51" s="2"/>
    </row>
    <row r="52" spans="2:14" ht="30.75" thickBot="1">
      <c r="B52" s="18" t="s">
        <v>32</v>
      </c>
      <c r="C52" s="18">
        <v>0</v>
      </c>
      <c r="D52" s="18">
        <v>0</v>
      </c>
      <c r="E52" s="18">
        <f>+C52+D52</f>
        <v>0</v>
      </c>
      <c r="F52" s="70">
        <f>+E52*E6</f>
        <v>0</v>
      </c>
      <c r="G52" s="54">
        <f>+F52*(23.8%+2.88%)</f>
        <v>0</v>
      </c>
      <c r="H52" s="54">
        <f>+F52*8.5%</f>
        <v>0</v>
      </c>
      <c r="I52" s="55">
        <f>+F52*1.06%</f>
        <v>0</v>
      </c>
      <c r="J52" s="54">
        <f>+F52+G52+H52+I52</f>
        <v>0</v>
      </c>
      <c r="K52" s="2"/>
      <c r="L52" s="2"/>
      <c r="M52" s="2"/>
      <c r="N52" s="2"/>
    </row>
    <row r="53" spans="2:14" ht="16.5" thickBot="1">
      <c r="B53" s="18" t="s">
        <v>13</v>
      </c>
      <c r="C53" s="18">
        <v>0</v>
      </c>
      <c r="D53" s="18">
        <v>0</v>
      </c>
      <c r="E53" s="18">
        <f t="shared" ref="E53:E58" si="17">+C53+D53</f>
        <v>0</v>
      </c>
      <c r="F53" s="70">
        <f>+E53*$E$7</f>
        <v>0</v>
      </c>
      <c r="G53" s="54">
        <f>+F53*(23.8%+2.88%)</f>
        <v>0</v>
      </c>
      <c r="H53" s="54">
        <f t="shared" ref="H53:H57" si="18">+F53*8.5%</f>
        <v>0</v>
      </c>
      <c r="I53" s="55">
        <f t="shared" ref="I53:I56" si="19">+F53*1.06%</f>
        <v>0</v>
      </c>
      <c r="J53" s="54">
        <f t="shared" ref="J53:J57" si="20">+F53+G53+H53+I53</f>
        <v>0</v>
      </c>
      <c r="K53" s="2"/>
      <c r="L53" s="2"/>
      <c r="M53" s="2"/>
      <c r="N53" s="2"/>
    </row>
    <row r="54" spans="2:14" ht="16.5" thickBot="1">
      <c r="B54" s="23" t="s">
        <v>14</v>
      </c>
      <c r="C54" s="23">
        <v>0</v>
      </c>
      <c r="D54" s="23">
        <v>0</v>
      </c>
      <c r="E54" s="18">
        <f t="shared" si="17"/>
        <v>0</v>
      </c>
      <c r="F54" s="70">
        <f>+E54*$E$8</f>
        <v>0</v>
      </c>
      <c r="G54" s="54">
        <f>+F54*(23.8%+2.88%)</f>
        <v>0</v>
      </c>
      <c r="H54" s="54">
        <f t="shared" si="18"/>
        <v>0</v>
      </c>
      <c r="I54" s="55">
        <f t="shared" si="19"/>
        <v>0</v>
      </c>
      <c r="J54" s="54">
        <f t="shared" si="20"/>
        <v>0</v>
      </c>
      <c r="K54" s="2"/>
      <c r="L54" s="2"/>
      <c r="M54" s="2"/>
      <c r="N54" s="2"/>
    </row>
    <row r="55" spans="2:14" ht="16.5" thickBot="1">
      <c r="B55" s="29" t="s">
        <v>15</v>
      </c>
      <c r="C55" s="29"/>
      <c r="D55" s="71"/>
      <c r="E55" s="72">
        <f t="shared" si="17"/>
        <v>0</v>
      </c>
      <c r="F55" s="70">
        <f>+E55*$E$9</f>
        <v>0</v>
      </c>
      <c r="G55" s="54">
        <f>+F55*(23.8%+2.88%)</f>
        <v>0</v>
      </c>
      <c r="H55" s="54">
        <f t="shared" si="18"/>
        <v>0</v>
      </c>
      <c r="I55" s="55">
        <f t="shared" si="19"/>
        <v>0</v>
      </c>
      <c r="J55" s="54">
        <f t="shared" si="20"/>
        <v>0</v>
      </c>
      <c r="K55" s="2"/>
      <c r="L55" s="2"/>
      <c r="M55" s="2"/>
      <c r="N55" s="2"/>
    </row>
    <row r="56" spans="2:14" ht="16.5" thickBot="1">
      <c r="B56" s="36" t="s">
        <v>16</v>
      </c>
      <c r="C56" s="36">
        <v>0</v>
      </c>
      <c r="D56" s="36">
        <v>0</v>
      </c>
      <c r="E56" s="18">
        <f t="shared" si="17"/>
        <v>0</v>
      </c>
      <c r="F56" s="70">
        <f>+E56*$E$10</f>
        <v>0</v>
      </c>
      <c r="G56" s="54">
        <f t="shared" ref="G56:G58" si="21">+F56*(23.8%+2.88%)</f>
        <v>0</v>
      </c>
      <c r="H56" s="54">
        <f t="shared" si="18"/>
        <v>0</v>
      </c>
      <c r="I56" s="55">
        <f t="shared" si="19"/>
        <v>0</v>
      </c>
      <c r="J56" s="54">
        <f t="shared" si="20"/>
        <v>0</v>
      </c>
      <c r="K56" s="2"/>
      <c r="L56" s="2"/>
      <c r="M56" s="2"/>
      <c r="N56" s="2"/>
    </row>
    <row r="57" spans="2:14" ht="16.5" thickBot="1">
      <c r="B57" s="36" t="s">
        <v>17</v>
      </c>
      <c r="C57" s="36">
        <v>0</v>
      </c>
      <c r="D57" s="36">
        <v>0</v>
      </c>
      <c r="E57" s="18">
        <f t="shared" si="17"/>
        <v>0</v>
      </c>
      <c r="F57" s="70">
        <f>+E57*$E$11+64.56*E57</f>
        <v>0</v>
      </c>
      <c r="G57" s="54">
        <f t="shared" si="21"/>
        <v>0</v>
      </c>
      <c r="H57" s="54">
        <f t="shared" si="18"/>
        <v>0</v>
      </c>
      <c r="I57" s="55">
        <f t="shared" ref="I57" si="22">+F57*1%</f>
        <v>0</v>
      </c>
      <c r="J57" s="54">
        <f t="shared" si="20"/>
        <v>0</v>
      </c>
      <c r="K57" s="73"/>
      <c r="L57" s="2"/>
      <c r="M57" s="2"/>
      <c r="N57" s="2"/>
    </row>
    <row r="58" spans="2:14" ht="16.5" thickBot="1">
      <c r="B58" s="18" t="s">
        <v>56</v>
      </c>
      <c r="C58" s="36">
        <v>0</v>
      </c>
      <c r="D58" s="36">
        <v>0</v>
      </c>
      <c r="E58" s="18">
        <f t="shared" si="17"/>
        <v>0</v>
      </c>
      <c r="F58" s="70">
        <f>+E58*$E$12+64.56*E58</f>
        <v>0</v>
      </c>
      <c r="G58" s="54">
        <f t="shared" si="21"/>
        <v>0</v>
      </c>
      <c r="H58" s="54">
        <f t="shared" ref="H58" si="23">+F58*8.5%</f>
        <v>0</v>
      </c>
      <c r="I58" s="55">
        <f t="shared" ref="I58" si="24">+F58*1%</f>
        <v>0</v>
      </c>
      <c r="J58" s="54">
        <f t="shared" ref="J58" si="25">+F58+G58+H58+I58</f>
        <v>0</v>
      </c>
      <c r="K58" s="73"/>
      <c r="L58" s="2"/>
      <c r="M58" s="2"/>
      <c r="N58" s="2"/>
    </row>
    <row r="59" spans="2:14" ht="16.5" thickBot="1">
      <c r="B59" s="45" t="s">
        <v>18</v>
      </c>
      <c r="C59" s="74">
        <f>SUM(C52:C58)</f>
        <v>0</v>
      </c>
      <c r="D59" s="75">
        <f>SUM(D52:D58)</f>
        <v>0</v>
      </c>
      <c r="E59" s="75">
        <f>SUM(E52:E58)</f>
        <v>0</v>
      </c>
      <c r="F59" s="67">
        <f>SUM(F52:F58)</f>
        <v>0</v>
      </c>
      <c r="G59" s="67">
        <f t="shared" ref="G59:J59" si="26">SUM(G52:G58)</f>
        <v>0</v>
      </c>
      <c r="H59" s="67">
        <f t="shared" si="26"/>
        <v>0</v>
      </c>
      <c r="I59" s="68">
        <f t="shared" si="26"/>
        <v>0</v>
      </c>
      <c r="J59" s="67">
        <f t="shared" si="26"/>
        <v>0</v>
      </c>
      <c r="K59" s="2"/>
      <c r="L59" s="2"/>
      <c r="M59" s="2"/>
      <c r="N59" s="2"/>
    </row>
    <row r="60" spans="2:14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24.6" customHeight="1" thickBot="1">
      <c r="B61" s="136" t="s">
        <v>34</v>
      </c>
      <c r="C61" s="136"/>
      <c r="D61" s="136"/>
      <c r="E61" s="136"/>
      <c r="F61" s="136"/>
      <c r="G61" s="136"/>
      <c r="H61" s="136"/>
      <c r="I61" s="136"/>
      <c r="J61" s="136"/>
      <c r="K61" s="2"/>
      <c r="L61" s="2"/>
      <c r="M61" s="2"/>
      <c r="N61" s="2"/>
    </row>
    <row r="62" spans="2:14" ht="24.6" customHeight="1">
      <c r="B62" s="76"/>
      <c r="C62" s="76"/>
      <c r="D62" s="76"/>
      <c r="E62" s="76"/>
      <c r="F62" s="138" t="s">
        <v>39</v>
      </c>
      <c r="G62" s="111" t="s">
        <v>58</v>
      </c>
      <c r="H62" s="111" t="s">
        <v>30</v>
      </c>
      <c r="I62" s="127" t="s">
        <v>54</v>
      </c>
      <c r="J62" s="127" t="s">
        <v>31</v>
      </c>
      <c r="K62" s="2"/>
      <c r="L62" s="2"/>
      <c r="M62" s="2"/>
      <c r="N62" s="2"/>
    </row>
    <row r="63" spans="2:14" ht="16.5" thickBot="1">
      <c r="B63" s="2"/>
      <c r="C63" s="2"/>
      <c r="D63" s="2"/>
      <c r="E63" s="2"/>
      <c r="F63" s="139"/>
      <c r="G63" s="131"/>
      <c r="H63" s="131"/>
      <c r="I63" s="131"/>
      <c r="J63" s="131"/>
      <c r="K63" s="2"/>
      <c r="L63" s="2"/>
      <c r="M63" s="2"/>
      <c r="N63" s="2"/>
    </row>
    <row r="64" spans="2:14" ht="16.5" thickBot="1">
      <c r="B64" s="2"/>
      <c r="C64" s="2"/>
      <c r="D64" s="2"/>
      <c r="E64" s="77" t="s">
        <v>35</v>
      </c>
      <c r="F64" s="78"/>
      <c r="G64" s="54">
        <f>+F64*(23.8%+2.88%*0.67)</f>
        <v>0</v>
      </c>
      <c r="H64" s="54">
        <f>+F64*8.5%</f>
        <v>0</v>
      </c>
      <c r="I64" s="55">
        <f>+F64*1.06%</f>
        <v>0</v>
      </c>
      <c r="J64" s="54">
        <f>+F64+G64+H64+I64</f>
        <v>0</v>
      </c>
      <c r="K64" s="2"/>
      <c r="L64" s="2"/>
      <c r="M64" s="2"/>
      <c r="N64" s="2"/>
    </row>
    <row r="65" spans="2:14" ht="16.5" thickBot="1">
      <c r="B65" s="2"/>
      <c r="C65" s="2"/>
      <c r="D65" s="2"/>
      <c r="E65" s="77" t="s">
        <v>36</v>
      </c>
      <c r="F65" s="78">
        <v>218847.79</v>
      </c>
      <c r="G65" s="54">
        <f t="shared" ref="G65:G67" si="27">+F65*23.8%</f>
        <v>52085.774020000004</v>
      </c>
      <c r="H65" s="54">
        <f t="shared" ref="H65:H67" si="28">+F65*8.5%</f>
        <v>18602.062150000002</v>
      </c>
      <c r="I65" s="55">
        <f t="shared" ref="I65:I66" si="29">+F65*1.06%</f>
        <v>2319.7865740000002</v>
      </c>
      <c r="J65" s="54">
        <f t="shared" ref="J65:J67" si="30">+F65+G65+H65+I65</f>
        <v>291855.41274400003</v>
      </c>
      <c r="K65" s="2"/>
      <c r="L65" s="2"/>
      <c r="M65" s="2"/>
      <c r="N65" s="2"/>
    </row>
    <row r="66" spans="2:14" ht="16.5" thickBot="1">
      <c r="B66" s="2"/>
      <c r="C66" s="2"/>
      <c r="D66" s="2"/>
      <c r="E66" s="77" t="s">
        <v>37</v>
      </c>
      <c r="F66" s="78">
        <v>33573.11</v>
      </c>
      <c r="G66" s="54">
        <f t="shared" si="27"/>
        <v>7990.4001800000005</v>
      </c>
      <c r="H66" s="54">
        <f t="shared" si="28"/>
        <v>2853.7143500000002</v>
      </c>
      <c r="I66" s="55">
        <f t="shared" si="29"/>
        <v>355.87496600000003</v>
      </c>
      <c r="J66" s="54">
        <f t="shared" si="30"/>
        <v>44773.099496000003</v>
      </c>
      <c r="K66" s="2"/>
      <c r="L66" s="2"/>
      <c r="M66" s="2"/>
      <c r="N66" s="2"/>
    </row>
    <row r="67" spans="2:14" ht="16.5" thickBot="1">
      <c r="B67" s="2"/>
      <c r="C67" s="2"/>
      <c r="D67" s="2"/>
      <c r="E67" s="77" t="s">
        <v>38</v>
      </c>
      <c r="F67" s="78">
        <v>3922.22</v>
      </c>
      <c r="G67" s="54">
        <f t="shared" si="27"/>
        <v>933.48836000000006</v>
      </c>
      <c r="H67" s="54">
        <f t="shared" si="28"/>
        <v>333.38870000000003</v>
      </c>
      <c r="I67" s="55">
        <f>+F67*1.06%</f>
        <v>41.575531999999995</v>
      </c>
      <c r="J67" s="54">
        <f t="shared" si="30"/>
        <v>5230.6725919999999</v>
      </c>
      <c r="K67" s="2"/>
      <c r="L67" s="2"/>
      <c r="M67" s="2"/>
      <c r="N67" s="2"/>
    </row>
    <row r="68" spans="2:14" ht="16.5" thickBot="1">
      <c r="B68" s="2"/>
      <c r="C68" s="2"/>
      <c r="D68" s="2"/>
      <c r="E68" s="79" t="s">
        <v>10</v>
      </c>
      <c r="F68" s="80">
        <f>SUM(F64:F67)</f>
        <v>256343.12000000002</v>
      </c>
      <c r="G68" s="81">
        <f t="shared" ref="G68:J68" si="31">SUM(G64:G67)</f>
        <v>61009.662560000012</v>
      </c>
      <c r="H68" s="81">
        <f t="shared" si="31"/>
        <v>21789.165199999999</v>
      </c>
      <c r="I68" s="80">
        <f t="shared" si="31"/>
        <v>2717.2370719999999</v>
      </c>
      <c r="J68" s="81">
        <f t="shared" si="31"/>
        <v>341859.184832</v>
      </c>
      <c r="K68" s="2"/>
      <c r="L68" s="2"/>
      <c r="M68" s="2"/>
      <c r="N68" s="2"/>
    </row>
    <row r="69" spans="2:14" ht="15.75">
      <c r="B69" s="2"/>
      <c r="C69" s="2"/>
      <c r="D69" s="2"/>
      <c r="E69" s="82" t="s">
        <v>60</v>
      </c>
      <c r="F69" s="83"/>
      <c r="G69" s="83"/>
      <c r="H69" s="83"/>
      <c r="I69" s="83"/>
      <c r="J69" s="83"/>
      <c r="K69" s="2"/>
      <c r="L69" s="2"/>
      <c r="M69" s="2"/>
      <c r="N69" s="2"/>
    </row>
    <row r="70" spans="2:14" ht="15" customHeight="1" thickBo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6.5" thickBot="1">
      <c r="B71" s="2"/>
      <c r="C71" s="2"/>
      <c r="D71" s="2"/>
      <c r="E71" s="84" t="s">
        <v>64</v>
      </c>
      <c r="F71" s="85"/>
      <c r="G71" s="85"/>
      <c r="H71" s="85"/>
      <c r="I71" s="86"/>
      <c r="J71" s="87">
        <v>270606.93</v>
      </c>
      <c r="K71" s="2"/>
      <c r="L71" s="2"/>
      <c r="M71" s="2"/>
      <c r="N71" s="2"/>
    </row>
    <row r="72" spans="2:14" ht="16.5" thickBot="1">
      <c r="B72" s="2"/>
      <c r="C72" s="2"/>
      <c r="D72" s="2"/>
      <c r="E72" s="88"/>
      <c r="F72" s="89"/>
      <c r="G72" s="89"/>
      <c r="H72" s="89"/>
      <c r="I72" s="89"/>
      <c r="J72" s="90"/>
      <c r="K72" s="2"/>
      <c r="L72" s="2"/>
      <c r="M72" s="2"/>
      <c r="N72" s="2"/>
    </row>
    <row r="73" spans="2:14" ht="14.65" customHeight="1" thickBot="1">
      <c r="B73" s="2"/>
      <c r="C73" s="2"/>
      <c r="D73" s="2"/>
      <c r="E73" s="88"/>
      <c r="F73" s="91" t="s">
        <v>39</v>
      </c>
      <c r="G73" s="92" t="s">
        <v>58</v>
      </c>
      <c r="H73" s="92" t="s">
        <v>30</v>
      </c>
      <c r="I73" s="93" t="s">
        <v>54</v>
      </c>
      <c r="J73" s="93" t="s">
        <v>10</v>
      </c>
      <c r="K73" s="2"/>
      <c r="L73" s="2"/>
      <c r="M73" s="2"/>
      <c r="N73" s="2"/>
    </row>
    <row r="74" spans="2:14" ht="16.5" thickBot="1">
      <c r="B74" s="2"/>
      <c r="C74" s="2"/>
      <c r="D74" s="2"/>
      <c r="E74" s="94" t="s">
        <v>55</v>
      </c>
      <c r="F74" s="95">
        <v>15313.2</v>
      </c>
      <c r="G74" s="54">
        <f>+(F74-12399)*(23.8%+2.88%)+12399*23.8%</f>
        <v>3728.4705600000002</v>
      </c>
      <c r="H74" s="96">
        <f>+F74*8.5%</f>
        <v>1301.6220000000001</v>
      </c>
      <c r="I74" s="95">
        <v>0</v>
      </c>
      <c r="J74" s="96">
        <f>+F74+G74+H74+I74</f>
        <v>20343.292560000002</v>
      </c>
      <c r="K74" s="2"/>
      <c r="L74" s="2"/>
      <c r="M74" s="2"/>
      <c r="N74" s="2"/>
    </row>
    <row r="75" spans="2:14" ht="15.75">
      <c r="B75" s="2"/>
      <c r="C75" s="2"/>
      <c r="D75" s="2"/>
      <c r="E75" s="88"/>
      <c r="F75" s="97"/>
      <c r="G75" s="97"/>
      <c r="H75" s="97"/>
      <c r="I75" s="97"/>
      <c r="J75" s="97"/>
      <c r="K75" s="2"/>
      <c r="L75" s="2"/>
      <c r="M75" s="2"/>
      <c r="N75" s="2"/>
    </row>
    <row r="76" spans="2:14" ht="15.75">
      <c r="B76" s="2"/>
      <c r="C76" s="2"/>
      <c r="D76" s="2"/>
      <c r="E76" s="88"/>
      <c r="F76" s="97"/>
      <c r="G76" s="97"/>
      <c r="H76" s="98" t="s">
        <v>59</v>
      </c>
      <c r="I76" s="95"/>
      <c r="J76" s="99">
        <f>+J71+J74</f>
        <v>290950.22256000002</v>
      </c>
      <c r="K76" s="2"/>
      <c r="L76" s="2"/>
      <c r="M76" s="2"/>
      <c r="N76" s="2"/>
    </row>
    <row r="77" spans="2:14" ht="15.75">
      <c r="B77" s="2"/>
      <c r="C77" s="2"/>
      <c r="D77" s="2"/>
      <c r="E77" s="88"/>
      <c r="F77" s="97"/>
      <c r="G77" s="97"/>
      <c r="H77" s="90"/>
      <c r="I77" s="97"/>
      <c r="J77" s="97"/>
      <c r="K77" s="2"/>
      <c r="L77" s="2"/>
      <c r="M77" s="2"/>
      <c r="N77" s="2"/>
    </row>
    <row r="78" spans="2:14" ht="16.5" thickBot="1">
      <c r="B78" s="137" t="s">
        <v>67</v>
      </c>
      <c r="C78" s="137"/>
      <c r="D78" s="137"/>
      <c r="E78" s="137"/>
      <c r="F78" s="137"/>
      <c r="G78" s="2"/>
      <c r="H78" s="50"/>
      <c r="I78" s="2"/>
      <c r="J78" s="73"/>
      <c r="K78" s="2"/>
      <c r="L78" s="2"/>
      <c r="M78" s="2"/>
      <c r="N78" s="2"/>
    </row>
    <row r="79" spans="2:14" ht="16.5" thickBot="1">
      <c r="B79" s="100" t="s">
        <v>53</v>
      </c>
      <c r="C79" s="101"/>
      <c r="D79" s="101"/>
      <c r="E79" s="102"/>
      <c r="F79" s="53">
        <f>+J45</f>
        <v>2169040.3045075266</v>
      </c>
      <c r="G79" s="2"/>
      <c r="H79" s="2"/>
      <c r="I79" s="2"/>
      <c r="J79" s="2"/>
      <c r="K79" s="2"/>
      <c r="L79" s="2"/>
      <c r="M79" s="2"/>
      <c r="N79" s="2"/>
    </row>
    <row r="80" spans="2:14" ht="16.5" thickBot="1">
      <c r="B80" s="100" t="s">
        <v>62</v>
      </c>
      <c r="C80" s="101"/>
      <c r="D80" s="101"/>
      <c r="E80" s="102"/>
      <c r="F80" s="53"/>
      <c r="G80" s="2"/>
      <c r="H80" s="2"/>
      <c r="I80" s="2"/>
      <c r="J80" s="73"/>
      <c r="K80" s="2"/>
      <c r="L80" s="2"/>
      <c r="M80" s="2"/>
      <c r="N80" s="2"/>
    </row>
    <row r="81" spans="2:14" ht="16.5" thickBot="1">
      <c r="B81" s="100" t="s">
        <v>40</v>
      </c>
      <c r="C81" s="101"/>
      <c r="D81" s="101"/>
      <c r="E81" s="102"/>
      <c r="F81" s="53">
        <f>+J68</f>
        <v>341859.184832</v>
      </c>
      <c r="G81" s="2"/>
      <c r="H81" s="2"/>
      <c r="I81" s="2"/>
      <c r="J81" s="2"/>
      <c r="K81" s="2"/>
      <c r="L81" s="2"/>
      <c r="M81" s="2"/>
      <c r="N81" s="2"/>
    </row>
    <row r="82" spans="2:14" ht="16.5" thickBot="1">
      <c r="B82" s="100" t="s">
        <v>50</v>
      </c>
      <c r="C82" s="101"/>
      <c r="D82" s="101"/>
      <c r="E82" s="102"/>
      <c r="F82" s="103">
        <f>+J76</f>
        <v>290950.22256000002</v>
      </c>
      <c r="G82" s="2"/>
      <c r="H82" s="2"/>
      <c r="I82" s="2"/>
      <c r="J82" s="108"/>
      <c r="K82" s="2"/>
      <c r="L82" s="2"/>
      <c r="M82" s="2"/>
      <c r="N82" s="2"/>
    </row>
    <row r="83" spans="2:14" ht="16.5" thickBot="1">
      <c r="B83" s="2"/>
      <c r="C83" s="2"/>
      <c r="D83" s="104" t="s">
        <v>10</v>
      </c>
      <c r="E83" s="105"/>
      <c r="F83" s="53">
        <f>SUM(F79:F82)</f>
        <v>2801849.7118995269</v>
      </c>
      <c r="G83" s="2"/>
      <c r="H83" s="73"/>
      <c r="I83" s="2"/>
      <c r="J83" s="2"/>
      <c r="K83" s="2"/>
      <c r="L83" s="2"/>
      <c r="M83" s="2"/>
      <c r="N83" s="2"/>
    </row>
    <row r="84" spans="2:14" ht="16.5" thickBot="1">
      <c r="B84" s="100" t="s">
        <v>41</v>
      </c>
      <c r="C84" s="101"/>
      <c r="D84" s="101"/>
      <c r="E84" s="102"/>
      <c r="F84" s="106"/>
      <c r="G84" s="2" t="s">
        <v>68</v>
      </c>
      <c r="H84" s="2"/>
      <c r="I84" s="2"/>
      <c r="J84" s="2"/>
      <c r="K84" s="2"/>
      <c r="L84" s="2"/>
      <c r="M84" s="2"/>
      <c r="N84" s="2"/>
    </row>
    <row r="85" spans="2:14" ht="16.5" thickBot="1">
      <c r="B85" s="2"/>
      <c r="C85" s="2"/>
      <c r="D85" s="104" t="s">
        <v>51</v>
      </c>
      <c r="E85" s="105"/>
      <c r="F85" s="107">
        <f>+F83-F84</f>
        <v>2801849.7118995269</v>
      </c>
      <c r="G85" s="2" t="s">
        <v>42</v>
      </c>
      <c r="H85" s="2"/>
      <c r="I85" s="2"/>
      <c r="J85" s="2"/>
      <c r="K85" s="2"/>
      <c r="L85" s="2"/>
      <c r="M85" s="2"/>
      <c r="N85" s="2"/>
    </row>
    <row r="86" spans="2:14" ht="16.5" thickBo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6.5" thickBot="1">
      <c r="B87" s="128" t="s">
        <v>52</v>
      </c>
      <c r="C87" s="129"/>
      <c r="D87" s="129"/>
      <c r="E87" s="130"/>
      <c r="F87" s="87">
        <v>3197743.17</v>
      </c>
      <c r="G87" s="2" t="s">
        <v>43</v>
      </c>
      <c r="H87" s="2"/>
      <c r="I87" s="2"/>
      <c r="J87" s="2"/>
      <c r="K87" s="2"/>
      <c r="L87" s="2"/>
      <c r="M87" s="2"/>
      <c r="N87" s="2"/>
    </row>
    <row r="88" spans="2:14" ht="16.5" thickBo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6.5" thickBot="1">
      <c r="B89" s="2"/>
      <c r="C89" s="2"/>
      <c r="D89" s="2"/>
      <c r="E89" s="74" t="s">
        <v>44</v>
      </c>
      <c r="F89" s="107">
        <f>+F85-F87</f>
        <v>-395893.45810047304</v>
      </c>
      <c r="G89" s="2"/>
      <c r="H89" s="2"/>
      <c r="I89" s="2"/>
      <c r="J89" s="2"/>
      <c r="K89" s="2"/>
      <c r="L89" s="2"/>
      <c r="M89" s="2"/>
      <c r="N89" s="2"/>
    </row>
    <row r="90" spans="2:14" ht="15.75">
      <c r="B90" s="2" t="s">
        <v>63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</sheetData>
  <mergeCells count="48">
    <mergeCell ref="G15:G16"/>
    <mergeCell ref="G22:G24"/>
    <mergeCell ref="H15:H16"/>
    <mergeCell ref="H62:H63"/>
    <mergeCell ref="I62:I63"/>
    <mergeCell ref="J62:J63"/>
    <mergeCell ref="F62:F63"/>
    <mergeCell ref="F50:F51"/>
    <mergeCell ref="I50:I51"/>
    <mergeCell ref="B61:J61"/>
    <mergeCell ref="B50:B51"/>
    <mergeCell ref="C50:C51"/>
    <mergeCell ref="D50:D51"/>
    <mergeCell ref="E50:E51"/>
    <mergeCell ref="G50:G51"/>
    <mergeCell ref="H50:H51"/>
    <mergeCell ref="B87:E87"/>
    <mergeCell ref="J50:J51"/>
    <mergeCell ref="G62:G63"/>
    <mergeCell ref="B15:B16"/>
    <mergeCell ref="D15:D16"/>
    <mergeCell ref="B31:B32"/>
    <mergeCell ref="C31:C32"/>
    <mergeCell ref="E31:E32"/>
    <mergeCell ref="B22:B24"/>
    <mergeCell ref="C22:C24"/>
    <mergeCell ref="E22:E24"/>
    <mergeCell ref="C15:C16"/>
    <mergeCell ref="B46:J46"/>
    <mergeCell ref="H22:H24"/>
    <mergeCell ref="B48:J48"/>
    <mergeCell ref="B78:F78"/>
    <mergeCell ref="F14:I14"/>
    <mergeCell ref="B14:E14"/>
    <mergeCell ref="H31:H32"/>
    <mergeCell ref="D31:D32"/>
    <mergeCell ref="J31:J32"/>
    <mergeCell ref="I31:I32"/>
    <mergeCell ref="J15:J16"/>
    <mergeCell ref="E15:E16"/>
    <mergeCell ref="J18:J19"/>
    <mergeCell ref="J21:J24"/>
    <mergeCell ref="F15:F16"/>
    <mergeCell ref="I15:I16"/>
    <mergeCell ref="F22:F24"/>
    <mergeCell ref="I22:I24"/>
    <mergeCell ref="F31:F32"/>
    <mergeCell ref="G31:G32"/>
  </mergeCells>
  <pageMargins left="0.43307086614173229" right="0.15748031496062992" top="1.1417322834645669" bottom="1.0629921259842521" header="0.31496062992125984" footer="0.31496062992125984"/>
  <pageSetup paperSize="9" scale="4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5" sqref="B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SPESA DOTAZIONE ORGANICA</vt:lpstr>
      <vt:lpstr>Foglio2</vt:lpstr>
      <vt:lpstr>Foglio3</vt:lpstr>
      <vt:lpstr>'SPESA DOTAZIONE ORGANICA'!Area_stampa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pc1</cp:lastModifiedBy>
  <cp:lastPrinted>2022-03-21T08:52:08Z</cp:lastPrinted>
  <dcterms:created xsi:type="dcterms:W3CDTF">2018-02-23T19:09:52Z</dcterms:created>
  <dcterms:modified xsi:type="dcterms:W3CDTF">2022-06-10T10:00:09Z</dcterms:modified>
</cp:coreProperties>
</file>